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elox Werk GmbH\2024\Marketing\Velox Intern\Bauvorhaben\"/>
    </mc:Choice>
  </mc:AlternateContent>
  <xr:revisionPtr revIDLastSave="0" documentId="8_{39F4F484-0516-4A28-B8E7-034E7F23FD7C}" xr6:coauthVersionLast="47" xr6:coauthVersionMax="47" xr10:uidLastSave="{00000000-0000-0000-0000-000000000000}"/>
  <bookViews>
    <workbookView xWindow="330" yWindow="780" windowWidth="28470" windowHeight="14730" xr2:uid="{06C8E3DB-D26C-4F2F-9D22-98598FC5D027}"/>
  </bookViews>
  <sheets>
    <sheet name="Wand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 s="1"/>
  <c r="G26" i="2"/>
  <c r="G21" i="2"/>
  <c r="L26" i="2"/>
  <c r="M26" i="2" s="1"/>
  <c r="N26" i="2" s="1"/>
  <c r="L21" i="2"/>
  <c r="M21" i="2" s="1"/>
  <c r="N21" i="2" s="1"/>
  <c r="L31" i="2"/>
  <c r="M31" i="2" s="1"/>
  <c r="N31" i="2" s="1"/>
  <c r="G31" i="2"/>
  <c r="G32" i="2"/>
  <c r="L30" i="2"/>
  <c r="M30" i="2" s="1"/>
  <c r="N30" i="2" s="1"/>
  <c r="G30" i="2"/>
  <c r="D8" i="2"/>
  <c r="H8" i="2" s="1"/>
  <c r="I8" i="2" s="1"/>
  <c r="K39" i="2"/>
  <c r="D12" i="2"/>
  <c r="H12" i="2" s="1"/>
  <c r="I12" i="2" s="1"/>
  <c r="L24" i="2"/>
  <c r="M24" i="2" s="1"/>
  <c r="N24" i="2" s="1"/>
  <c r="L22" i="2"/>
  <c r="M22" i="2" s="1"/>
  <c r="N22" i="2" s="1"/>
  <c r="L23" i="2"/>
  <c r="M23" i="2" s="1"/>
  <c r="N23" i="2" s="1"/>
  <c r="L25" i="2"/>
  <c r="M25" i="2" s="1"/>
  <c r="N25" i="2" s="1"/>
  <c r="L27" i="2"/>
  <c r="M27" i="2" s="1"/>
  <c r="N27" i="2" s="1"/>
  <c r="L28" i="2"/>
  <c r="M28" i="2" s="1"/>
  <c r="N28" i="2" s="1"/>
  <c r="L29" i="2"/>
  <c r="M29" i="2" s="1"/>
  <c r="N29" i="2" s="1"/>
  <c r="L32" i="2"/>
  <c r="M32" i="2" s="1"/>
  <c r="N32" i="2" s="1"/>
  <c r="L20" i="2"/>
  <c r="M20" i="2" s="1"/>
  <c r="N20" i="2" s="1"/>
  <c r="G24" i="2"/>
  <c r="G29" i="2"/>
  <c r="G28" i="2"/>
  <c r="G27" i="2"/>
  <c r="G25" i="2"/>
  <c r="G23" i="2"/>
  <c r="G22" i="2"/>
  <c r="G20" i="2"/>
  <c r="J15" i="2"/>
  <c r="E15" i="2"/>
  <c r="F15" i="2" s="1"/>
  <c r="D15" i="2"/>
  <c r="H15" i="2" s="1"/>
  <c r="J14" i="2"/>
  <c r="E14" i="2"/>
  <c r="E27" i="2" s="1"/>
  <c r="F27" i="2" s="1"/>
  <c r="D14" i="2"/>
  <c r="H14" i="2" s="1"/>
  <c r="J13" i="2"/>
  <c r="E13" i="2"/>
  <c r="E20" i="2" s="1"/>
  <c r="F20" i="2" s="1"/>
  <c r="D13" i="2"/>
  <c r="D20" i="2" s="1"/>
  <c r="J12" i="2"/>
  <c r="E12" i="2"/>
  <c r="F12" i="2" s="1"/>
  <c r="J11" i="2"/>
  <c r="E11" i="2"/>
  <c r="D11" i="2"/>
  <c r="H11" i="2" s="1"/>
  <c r="J10" i="2"/>
  <c r="E10" i="2"/>
  <c r="E26" i="2" s="1"/>
  <c r="F26" i="2" s="1"/>
  <c r="D10" i="2"/>
  <c r="J9" i="2"/>
  <c r="E9" i="2"/>
  <c r="F9" i="2" s="1"/>
  <c r="D9" i="2"/>
  <c r="H9" i="2" s="1"/>
  <c r="I9" i="2" s="1"/>
  <c r="J8" i="2"/>
  <c r="D32" i="2" l="1"/>
  <c r="D30" i="2"/>
  <c r="E32" i="2"/>
  <c r="F32" i="2" s="1"/>
  <c r="D21" i="2"/>
  <c r="E30" i="2"/>
  <c r="F30" i="2" s="1"/>
  <c r="E31" i="2"/>
  <c r="F31" i="2" s="1"/>
  <c r="D26" i="2"/>
  <c r="D31" i="2"/>
  <c r="E21" i="2"/>
  <c r="F21" i="2" s="1"/>
  <c r="H31" i="2"/>
  <c r="I31" i="2" s="1"/>
  <c r="N33" i="2"/>
  <c r="G33" i="2"/>
  <c r="E25" i="2"/>
  <c r="F25" i="2" s="1"/>
  <c r="E28" i="2"/>
  <c r="F28" i="2" s="1"/>
  <c r="E22" i="2"/>
  <c r="F22" i="2" s="1"/>
  <c r="F14" i="2"/>
  <c r="E23" i="2"/>
  <c r="F23" i="2" s="1"/>
  <c r="E24" i="2"/>
  <c r="F24" i="2" s="1"/>
  <c r="D27" i="2"/>
  <c r="H13" i="2"/>
  <c r="F10" i="2"/>
  <c r="E29" i="2"/>
  <c r="F29" i="2" s="1"/>
  <c r="D24" i="2"/>
  <c r="D25" i="2"/>
  <c r="D23" i="2"/>
  <c r="D22" i="2"/>
  <c r="H24" i="2"/>
  <c r="I24" i="2" s="1"/>
  <c r="D29" i="2"/>
  <c r="H10" i="2"/>
  <c r="D28" i="2"/>
  <c r="J16" i="2"/>
  <c r="I15" i="2"/>
  <c r="I11" i="2"/>
  <c r="F13" i="2"/>
  <c r="F11" i="2"/>
  <c r="H22" i="2"/>
  <c r="I22" i="2" s="1"/>
  <c r="H27" i="2"/>
  <c r="I27" i="2" s="1"/>
  <c r="O27" i="2" s="1"/>
  <c r="I14" i="2"/>
  <c r="H23" i="2"/>
  <c r="I23" i="2" s="1"/>
  <c r="I41" i="2" l="1"/>
  <c r="I43" i="2" s="1"/>
  <c r="I37" i="2"/>
  <c r="O31" i="2"/>
  <c r="F33" i="2"/>
  <c r="I38" i="2" s="1"/>
  <c r="H21" i="2"/>
  <c r="I21" i="2" s="1"/>
  <c r="O21" i="2" s="1"/>
  <c r="H20" i="2"/>
  <c r="I20" i="2" s="1"/>
  <c r="O20" i="2" s="1"/>
  <c r="I10" i="2"/>
  <c r="H32" i="2"/>
  <c r="I32" i="2" s="1"/>
  <c r="O32" i="2" s="1"/>
  <c r="H30" i="2"/>
  <c r="I30" i="2" s="1"/>
  <c r="O30" i="2" s="1"/>
  <c r="H26" i="2"/>
  <c r="I26" i="2" s="1"/>
  <c r="O26" i="2" s="1"/>
  <c r="H25" i="2"/>
  <c r="I25" i="2" s="1"/>
  <c r="O25" i="2" s="1"/>
  <c r="H28" i="2"/>
  <c r="I28" i="2" s="1"/>
  <c r="O28" i="2" s="1"/>
  <c r="I13" i="2"/>
  <c r="O23" i="2"/>
  <c r="O24" i="2"/>
  <c r="O22" i="2"/>
  <c r="F16" i="2"/>
  <c r="H29" i="2"/>
  <c r="I29" i="2" s="1"/>
  <c r="O29" i="2" s="1"/>
  <c r="I16" i="2" l="1"/>
  <c r="O33" i="2"/>
  <c r="I33" i="2"/>
</calcChain>
</file>

<file path=xl/sharedStrings.xml><?xml version="1.0" encoding="utf-8"?>
<sst xmlns="http://schemas.openxmlformats.org/spreadsheetml/2006/main" count="77" uniqueCount="64">
  <si>
    <t>Velox WS 25</t>
  </si>
  <si>
    <t>Velox WS 35</t>
  </si>
  <si>
    <t>Velox WS 50</t>
  </si>
  <si>
    <t>Velox WS 75</t>
  </si>
  <si>
    <t>Velox WS 100</t>
  </si>
  <si>
    <t>Velox WSD 30</t>
  </si>
  <si>
    <t>Velox WSD 35</t>
  </si>
  <si>
    <t>Velox WDS 50</t>
  </si>
  <si>
    <t>kg/m²</t>
  </si>
  <si>
    <t>kg CO2/m²</t>
  </si>
  <si>
    <t>stk = m²</t>
  </si>
  <si>
    <t>kg CO2</t>
  </si>
  <si>
    <t>Type</t>
  </si>
  <si>
    <t>Holzspan-Dämmplatte</t>
  </si>
  <si>
    <t>Menge</t>
  </si>
  <si>
    <t>Zementanteil in der Dämmplatte</t>
  </si>
  <si>
    <t>In der Holzspan-Dämmplatten gebundenes CO2</t>
  </si>
  <si>
    <t>im Beton enthaltener Zement (300-380 kg/m³)</t>
  </si>
  <si>
    <t>TT 20</t>
  </si>
  <si>
    <t>TT 22</t>
  </si>
  <si>
    <t>TT 25</t>
  </si>
  <si>
    <t>GT 25</t>
  </si>
  <si>
    <t>TT 30</t>
  </si>
  <si>
    <t>GT 30</t>
  </si>
  <si>
    <t>GU 30</t>
  </si>
  <si>
    <t>XG 30</t>
  </si>
  <si>
    <t>m²</t>
  </si>
  <si>
    <t>m³</t>
  </si>
  <si>
    <t>Holzpan je Platte</t>
  </si>
  <si>
    <t>Adresse</t>
  </si>
  <si>
    <t>CO2 Speicher im Holzspan</t>
  </si>
  <si>
    <t>CO2 Anteil des Zement in der Platte</t>
  </si>
  <si>
    <t>L/m²</t>
  </si>
  <si>
    <t>Beton- füllung</t>
  </si>
  <si>
    <t>Zementanteil im Füllbeton</t>
  </si>
  <si>
    <t>Zement- anteil Wand</t>
  </si>
  <si>
    <t>Zementanteil in den Holzspan-Platten</t>
  </si>
  <si>
    <t>Im Zement enthaltendes CO2  (500 -700 kg/to)</t>
  </si>
  <si>
    <t>Wand fläche</t>
  </si>
  <si>
    <t>Holzpan Menge</t>
  </si>
  <si>
    <t>Holzspan CO2 Speicher</t>
  </si>
  <si>
    <t>Summe:          Holz - Zement</t>
  </si>
  <si>
    <t>BVH:</t>
  </si>
  <si>
    <t>NN 20</t>
  </si>
  <si>
    <t>GG 25</t>
  </si>
  <si>
    <t>ET 37</t>
  </si>
  <si>
    <t>ET 38,5</t>
  </si>
  <si>
    <t>VELOX Wandtype</t>
  </si>
  <si>
    <t>NN 18</t>
  </si>
  <si>
    <t>Vereinfachte Umrechnung von VELOX Produkten in den Rohstoff Baum</t>
  </si>
  <si>
    <t>UBM: Graz Andritz 50 WE</t>
  </si>
  <si>
    <t xml:space="preserve"> kg CO2  gespeichert</t>
  </si>
  <si>
    <t xml:space="preserve">Umrechnungsfaktor vom alter des Baumes in Ergibigkeit Holzspan </t>
  </si>
  <si>
    <t xml:space="preserve">Alter des Baumes (30 - 60 Jahre) </t>
  </si>
  <si>
    <t xml:space="preserve">Diese Plattenmenge entspricht umgerechnet ca.: </t>
  </si>
  <si>
    <t xml:space="preserve">Aufgeteilt auf: </t>
  </si>
  <si>
    <t xml:space="preserve"> Wohneinheiten</t>
  </si>
  <si>
    <t xml:space="preserve"> Bäumen, die in Form von Restholz (Holzspan) verarbeitet werden</t>
  </si>
  <si>
    <t xml:space="preserve"> Bäumen je Wohneinheit</t>
  </si>
  <si>
    <t xml:space="preserve">In den verarbeiteten Holzspan-Dämmplatten ist  </t>
  </si>
  <si>
    <t>Symbolische Umrechnung des verwendeten Holzspanvolumen auf eine entsprechene Anzahl von Bäumen</t>
  </si>
  <si>
    <t>Holzspan verarbeitet</t>
  </si>
  <si>
    <t xml:space="preserve">Entspricht einem Anteil von: </t>
  </si>
  <si>
    <t>CO2 Rechner für VELOX HOLZBETON - Bauweise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</si>
</sst>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&quot; kg CO2/m³&quot;"/>
    <numFmt numFmtId="165" formatCode="0&quot; kg CO2/to&quot;"/>
    <numFmt numFmtId="166" formatCode="0.0"/>
    <numFmt numFmtId="167" formatCode="0&quot; Jahre&quot;"/>
    <numFmt numFmtId="168" formatCode="0.00&quot; m³ Holzspan je Baum&quot;"/>
    <numFmt numFmtId="169" formatCode="0&quot; kg/m³&quot;"/>
    <numFmt numFmtId="170" formatCode="0&quot; m³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69" fontId="0" fillId="0" borderId="0" xfId="0" applyNumberFormat="1" applyAlignment="1" applyProtection="1">
      <alignment vertical="center"/>
      <protection locked="0"/>
    </xf>
    <xf numFmtId="3" fontId="6" fillId="3" borderId="8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1" fillId="0" borderId="10" xfId="0" applyFont="1" applyBorder="1"/>
    <xf numFmtId="0" fontId="2" fillId="0" borderId="0" xfId="0" applyFont="1" applyProtection="1">
      <protection locked="0"/>
    </xf>
    <xf numFmtId="0" fontId="4" fillId="5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4" fillId="5" borderId="20" xfId="0" applyFont="1" applyFill="1" applyBorder="1"/>
    <xf numFmtId="166" fontId="4" fillId="5" borderId="2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166" fontId="4" fillId="5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4" fillId="5" borderId="28" xfId="0" applyFont="1" applyFill="1" applyBorder="1"/>
    <xf numFmtId="166" fontId="4" fillId="5" borderId="28" xfId="0" applyNumberFormat="1" applyFon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 vertical="center"/>
    </xf>
    <xf numFmtId="166" fontId="4" fillId="5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6" fontId="0" fillId="6" borderId="3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11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13" xfId="0" applyFont="1" applyBorder="1"/>
    <xf numFmtId="0" fontId="1" fillId="0" borderId="13" xfId="0" applyFont="1" applyBorder="1" applyAlignment="1">
      <alignment horizontal="center" wrapText="1"/>
    </xf>
    <xf numFmtId="0" fontId="11" fillId="0" borderId="13" xfId="0" applyFont="1" applyBorder="1"/>
    <xf numFmtId="0" fontId="11" fillId="0" borderId="15" xfId="0" applyFont="1" applyBorder="1"/>
    <xf numFmtId="0" fontId="4" fillId="5" borderId="0" xfId="0" applyFont="1" applyFill="1"/>
    <xf numFmtId="166" fontId="4" fillId="5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6" fontId="4" fillId="5" borderId="0" xfId="0" applyNumberFormat="1" applyFont="1" applyFill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0" fillId="6" borderId="34" xfId="0" applyNumberFormat="1" applyFill="1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166" fontId="0" fillId="6" borderId="32" xfId="0" applyNumberFormat="1" applyFill="1" applyBorder="1" applyAlignment="1">
      <alignment horizontal="center" vertical="center"/>
    </xf>
    <xf numFmtId="166" fontId="0" fillId="6" borderId="20" xfId="0" applyNumberFormat="1" applyFill="1" applyBorder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6" fontId="0" fillId="6" borderId="28" xfId="0" applyNumberForma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166" fontId="8" fillId="2" borderId="26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1" fontId="9" fillId="6" borderId="25" xfId="0" applyNumberFormat="1" applyFont="1" applyFill="1" applyBorder="1" applyAlignment="1">
      <alignment horizontal="center" vertical="center"/>
    </xf>
    <xf numFmtId="1" fontId="9" fillId="6" borderId="13" xfId="0" applyNumberFormat="1" applyFont="1" applyFill="1" applyBorder="1" applyAlignment="1">
      <alignment horizontal="center" vertical="center"/>
    </xf>
    <xf numFmtId="1" fontId="9" fillId="6" borderId="27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/>
    </xf>
    <xf numFmtId="1" fontId="9" fillId="2" borderId="46" xfId="0" applyNumberFormat="1" applyFont="1" applyFill="1" applyBorder="1" applyAlignment="1">
      <alignment horizontal="center" vertical="center"/>
    </xf>
    <xf numFmtId="1" fontId="9" fillId="2" borderId="47" xfId="0" applyNumberFormat="1" applyFont="1" applyFill="1" applyBorder="1" applyAlignment="1">
      <alignment horizontal="center" vertical="center"/>
    </xf>
    <xf numFmtId="1" fontId="9" fillId="2" borderId="48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169" fontId="6" fillId="3" borderId="36" xfId="0" applyNumberFormat="1" applyFont="1" applyFill="1" applyBorder="1" applyAlignment="1" applyProtection="1">
      <alignment horizontal="center" vertical="center"/>
      <protection locked="0"/>
    </xf>
    <xf numFmtId="170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3" fillId="0" borderId="11" xfId="0" applyFont="1" applyBorder="1"/>
    <xf numFmtId="0" fontId="8" fillId="0" borderId="15" xfId="0" applyFont="1" applyBorder="1"/>
    <xf numFmtId="0" fontId="0" fillId="0" borderId="13" xfId="0" applyBorder="1"/>
    <xf numFmtId="0" fontId="0" fillId="3" borderId="0" xfId="0" applyFill="1"/>
    <xf numFmtId="0" fontId="0" fillId="3" borderId="20" xfId="0" applyFill="1" applyBorder="1"/>
    <xf numFmtId="0" fontId="14" fillId="3" borderId="0" xfId="0" applyFont="1" applyFill="1"/>
    <xf numFmtId="0" fontId="14" fillId="3" borderId="20" xfId="0" applyFont="1" applyFill="1" applyBorder="1"/>
    <xf numFmtId="0" fontId="0" fillId="3" borderId="19" xfId="0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6" fillId="3" borderId="37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6" fillId="3" borderId="37" xfId="0" applyNumberFormat="1" applyFont="1" applyFill="1" applyBorder="1" applyAlignment="1" applyProtection="1">
      <alignment horizontal="center" vertical="center"/>
      <protection locked="0"/>
    </xf>
    <xf numFmtId="165" fontId="6" fillId="3" borderId="39" xfId="0" applyNumberFormat="1" applyFont="1" applyFill="1" applyBorder="1" applyAlignment="1" applyProtection="1">
      <alignment horizontal="center" vertical="center"/>
      <protection locked="0"/>
    </xf>
    <xf numFmtId="165" fontId="6" fillId="3" borderId="38" xfId="0" applyNumberFormat="1" applyFont="1" applyFill="1" applyBorder="1" applyAlignment="1" applyProtection="1">
      <alignment horizontal="center" vertical="center"/>
      <protection locked="0"/>
    </xf>
    <xf numFmtId="168" fontId="2" fillId="2" borderId="7" xfId="0" applyNumberFormat="1" applyFont="1" applyFill="1" applyBorder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/>
    </xf>
    <xf numFmtId="168" fontId="2" fillId="2" borderId="9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" fontId="2" fillId="3" borderId="37" xfId="0" applyNumberFormat="1" applyFont="1" applyFill="1" applyBorder="1" applyAlignment="1" applyProtection="1">
      <alignment horizontal="center" vertical="center"/>
      <protection locked="0"/>
    </xf>
    <xf numFmtId="1" fontId="2" fillId="3" borderId="3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167" fontId="2" fillId="3" borderId="37" xfId="0" applyNumberFormat="1" applyFont="1" applyFill="1" applyBorder="1" applyAlignment="1" applyProtection="1">
      <alignment horizontal="center" vertical="center"/>
      <protection locked="0"/>
    </xf>
    <xf numFmtId="167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70" fontId="2" fillId="2" borderId="53" xfId="0" applyNumberFormat="1" applyFont="1" applyFill="1" applyBorder="1" applyAlignment="1">
      <alignment horizontal="center" vertical="center"/>
    </xf>
    <xf numFmtId="170" fontId="2" fillId="2" borderId="54" xfId="0" applyNumberFormat="1" applyFont="1" applyFill="1" applyBorder="1" applyAlignment="1">
      <alignment horizontal="center" vertical="center"/>
    </xf>
    <xf numFmtId="170" fontId="2" fillId="2" borderId="5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tif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209467</xdr:colOff>
      <xdr:row>0</xdr:row>
      <xdr:rowOff>28576</xdr:rowOff>
    </xdr:from>
    <xdr:to>
      <xdr:col>20</xdr:col>
      <xdr:colOff>215264</xdr:colOff>
      <xdr:row>2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9C4D4D-2A41-4AAD-9CD9-3B253817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842" y="28576"/>
          <a:ext cx="920197" cy="552450"/>
        </a:xfrm>
        <a:prstGeom prst="rect">
          <a:avLst/>
        </a:prstGeom>
      </xdr:spPr>
    </xdr:pic>
    <xdr:clientData/>
  </xdr:twoCellAnchor>
  <xdr:twoCellAnchor>
    <xdr:from>
      <xdr:col>14</xdr:col>
      <xdr:colOff>123825</xdr:colOff>
      <xdr:row>40</xdr:row>
      <xdr:rowOff>9526</xdr:rowOff>
    </xdr:from>
    <xdr:to>
      <xdr:col>21</xdr:col>
      <xdr:colOff>295275</xdr:colOff>
      <xdr:row>42</xdr:row>
      <xdr:rowOff>190501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932369D-A655-4461-B99D-579D5D6E04EF}"/>
            </a:ext>
          </a:extLst>
        </xdr:cNvPr>
        <xdr:cNvSpPr txBox="1"/>
      </xdr:nvSpPr>
      <xdr:spPr>
        <a:xfrm>
          <a:off x="6924675" y="6210301"/>
          <a:ext cx="23812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Patenschaft der Wohnungskäufer für die Aufforstung  von Jungwald als Ausgleich für die Errichtung des Rohbaues</a:t>
          </a:r>
        </a:p>
      </xdr:txBody>
    </xdr:sp>
    <xdr:clientData/>
  </xdr:twoCellAnchor>
  <xdr:twoCellAnchor editAs="oneCell">
    <xdr:from>
      <xdr:col>16</xdr:col>
      <xdr:colOff>17723</xdr:colOff>
      <xdr:row>17</xdr:row>
      <xdr:rowOff>371475</xdr:rowOff>
    </xdr:from>
    <xdr:to>
      <xdr:col>21</xdr:col>
      <xdr:colOff>303852</xdr:colOff>
      <xdr:row>23</xdr:row>
      <xdr:rowOff>85725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0B9673-63CD-4F1D-B949-091D2739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373" y="1743075"/>
          <a:ext cx="142912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628649</xdr:colOff>
      <xdr:row>36</xdr:row>
      <xdr:rowOff>16329</xdr:rowOff>
    </xdr:from>
    <xdr:to>
      <xdr:col>21</xdr:col>
      <xdr:colOff>276224</xdr:colOff>
      <xdr:row>39</xdr:row>
      <xdr:rowOff>116355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61B4D6E-0339-463C-845A-17BE429D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9" y="5236029"/>
          <a:ext cx="1857375" cy="8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111161</xdr:colOff>
      <xdr:row>4</xdr:row>
      <xdr:rowOff>104774</xdr:rowOff>
    </xdr:from>
    <xdr:to>
      <xdr:col>15</xdr:col>
      <xdr:colOff>31959</xdr:colOff>
      <xdr:row>4</xdr:row>
      <xdr:rowOff>552449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B691E51-DA16-4E3B-800F-0BDCC312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7" t="15233" r="17545" b="7913"/>
        <a:stretch>
          <a:fillRect/>
        </a:stretch>
      </xdr:blipFill>
      <xdr:spPr bwMode="auto">
        <a:xfrm>
          <a:off x="6912011" y="771524"/>
          <a:ext cx="82567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53608</xdr:colOff>
      <xdr:row>2</xdr:row>
      <xdr:rowOff>95250</xdr:rowOff>
    </xdr:from>
    <xdr:to>
      <xdr:col>21</xdr:col>
      <xdr:colOff>304800</xdr:colOff>
      <xdr:row>17</xdr:row>
      <xdr:rowOff>322927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1889C5-44D2-4A33-B7E9-671BB297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3" t="76259" r="50267" b="6940"/>
        <a:stretch>
          <a:fillRect/>
        </a:stretch>
      </xdr:blipFill>
      <xdr:spPr bwMode="auto">
        <a:xfrm>
          <a:off x="7921258" y="657225"/>
          <a:ext cx="1394192" cy="103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142875</xdr:colOff>
      <xdr:row>24</xdr:row>
      <xdr:rowOff>43891</xdr:rowOff>
    </xdr:from>
    <xdr:to>
      <xdr:col>21</xdr:col>
      <xdr:colOff>240370</xdr:colOff>
      <xdr:row>28</xdr:row>
      <xdr:rowOff>102096</xdr:rowOff>
    </xdr:to>
    <xdr:pic>
      <xdr:nvPicPr>
        <xdr:cNvPr id="8" name="Picture 12">
          <a:extLst>
            <a:ext uri="{FF2B5EF4-FFF2-40B4-BE49-F238E27FC236}">
              <a16:creationId xmlns:a16="http://schemas.microsoft.com/office/drawing/2014/main" id="{D3F1BF24-1C6B-45D7-98D0-F057BA40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25216"/>
          <a:ext cx="783295" cy="85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29</xdr:row>
      <xdr:rowOff>33103</xdr:rowOff>
    </xdr:from>
    <xdr:to>
      <xdr:col>21</xdr:col>
      <xdr:colOff>285750</xdr:colOff>
      <xdr:row>36</xdr:row>
      <xdr:rowOff>32132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D528C999-0ECA-47C1-93FA-9EA5E06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4014553"/>
          <a:ext cx="1466850" cy="123727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</xdr:colOff>
      <xdr:row>23</xdr:row>
      <xdr:rowOff>150236</xdr:rowOff>
    </xdr:from>
    <xdr:to>
      <xdr:col>18</xdr:col>
      <xdr:colOff>76200</xdr:colOff>
      <xdr:row>29</xdr:row>
      <xdr:rowOff>7136</xdr:rowOff>
    </xdr:to>
    <xdr:pic>
      <xdr:nvPicPr>
        <xdr:cNvPr id="10" name="Picture 13">
          <a:extLst>
            <a:ext uri="{FF2B5EF4-FFF2-40B4-BE49-F238E27FC236}">
              <a16:creationId xmlns:a16="http://schemas.microsoft.com/office/drawing/2014/main" id="{AC71D541-9514-4C9D-932C-F617C21B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931536"/>
          <a:ext cx="514350" cy="105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4570</xdr:rowOff>
    </xdr:from>
    <xdr:to>
      <xdr:col>1</xdr:col>
      <xdr:colOff>428625</xdr:colOff>
      <xdr:row>42</xdr:row>
      <xdr:rowOff>154621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3B9B690-08CB-4942-AD19-C9C4DFD19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6820"/>
          <a:ext cx="1104900" cy="40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0BC3-9801-4568-A1FD-BEFA50664D94}">
  <dimension ref="A1:P48"/>
  <sheetViews>
    <sheetView tabSelected="1" workbookViewId="0">
      <selection activeCell="AA31" sqref="AA31"/>
    </sheetView>
  </sheetViews>
  <sheetFormatPr baseColWidth="10" defaultRowHeight="15" x14ac:dyDescent="0.25"/>
  <cols>
    <col min="1" max="1" width="11.42578125" customWidth="1"/>
    <col min="2" max="2" width="7.85546875" bestFit="1" customWidth="1"/>
    <col min="3" max="3" width="6" hidden="1" customWidth="1"/>
    <col min="4" max="4" width="11.5703125" hidden="1" customWidth="1"/>
    <col min="5" max="5" width="8.28515625" style="1" customWidth="1"/>
    <col min="6" max="6" width="11.28515625" style="1" customWidth="1"/>
    <col min="7" max="7" width="9.5703125" style="1" customWidth="1"/>
    <col min="8" max="8" width="8.7109375" style="1" customWidth="1"/>
    <col min="9" max="9" width="7.85546875" style="1" customWidth="1"/>
    <col min="10" max="10" width="8.42578125" style="1" hidden="1" customWidth="1"/>
    <col min="11" max="11" width="7" customWidth="1"/>
    <col min="12" max="12" width="7.42578125" customWidth="1"/>
    <col min="13" max="13" width="9.5703125" customWidth="1"/>
    <col min="14" max="14" width="13" customWidth="1"/>
    <col min="15" max="15" width="13.5703125" customWidth="1"/>
    <col min="16" max="16" width="2.42578125" customWidth="1"/>
    <col min="17" max="21" width="3.42578125" customWidth="1"/>
    <col min="22" max="22" width="4.7109375" customWidth="1"/>
    <col min="23" max="24" width="0.7109375" customWidth="1"/>
  </cols>
  <sheetData>
    <row r="1" spans="1:16" ht="25.5" customHeight="1" x14ac:dyDescent="0.35">
      <c r="A1" s="11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118"/>
      <c r="L1" s="121" t="s">
        <v>42</v>
      </c>
      <c r="M1" s="123" t="s">
        <v>50</v>
      </c>
      <c r="N1" s="119"/>
      <c r="O1" s="119"/>
      <c r="P1" s="38"/>
    </row>
    <row r="2" spans="1:16" ht="18.75" x14ac:dyDescent="0.3">
      <c r="A2" s="117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118"/>
      <c r="L2" s="122" t="s">
        <v>29</v>
      </c>
      <c r="M2" s="120"/>
      <c r="N2" s="120"/>
      <c r="O2" s="120"/>
      <c r="P2" s="38"/>
    </row>
    <row r="3" spans="1:16" ht="8.25" customHeight="1" thickBot="1" x14ac:dyDescent="0.3"/>
    <row r="4" spans="1:16" ht="15.75" hidden="1" thickBot="1" x14ac:dyDescent="0.3"/>
    <row r="5" spans="1:16" ht="48" customHeight="1" thickTop="1" thickBot="1" x14ac:dyDescent="0.3">
      <c r="A5" s="135" t="s">
        <v>16</v>
      </c>
      <c r="B5" s="136"/>
      <c r="C5" s="71"/>
      <c r="D5" s="72"/>
      <c r="E5" s="133">
        <v>700</v>
      </c>
      <c r="F5" s="134"/>
      <c r="G5" s="136" t="s">
        <v>37</v>
      </c>
      <c r="H5" s="136"/>
      <c r="I5" s="137">
        <v>550</v>
      </c>
      <c r="J5" s="138"/>
      <c r="K5" s="139"/>
      <c r="L5" s="136" t="s">
        <v>17</v>
      </c>
      <c r="M5" s="136"/>
      <c r="N5" s="111">
        <v>340</v>
      </c>
      <c r="O5" s="34"/>
      <c r="P5" s="34"/>
    </row>
    <row r="6" spans="1:16" ht="31.5" hidden="1" x14ac:dyDescent="0.25">
      <c r="A6" s="74" t="s">
        <v>13</v>
      </c>
      <c r="B6" t="s">
        <v>14</v>
      </c>
      <c r="C6" s="128" t="s">
        <v>15</v>
      </c>
      <c r="D6" s="128"/>
      <c r="E6" s="129" t="s">
        <v>30</v>
      </c>
      <c r="F6" s="129"/>
      <c r="G6" s="15"/>
      <c r="H6" s="130" t="s">
        <v>31</v>
      </c>
      <c r="I6" s="130"/>
      <c r="J6" s="16" t="s">
        <v>28</v>
      </c>
    </row>
    <row r="7" spans="1:16" ht="30" hidden="1" x14ac:dyDescent="0.25">
      <c r="A7" s="73" t="s">
        <v>12</v>
      </c>
      <c r="B7" t="s">
        <v>10</v>
      </c>
      <c r="C7" s="30" t="s">
        <v>8</v>
      </c>
      <c r="D7" s="30" t="s">
        <v>9</v>
      </c>
      <c r="E7" s="15" t="s">
        <v>9</v>
      </c>
      <c r="F7" s="15" t="s">
        <v>11</v>
      </c>
      <c r="G7" s="15"/>
      <c r="H7" s="32" t="s">
        <v>9</v>
      </c>
      <c r="I7" s="32" t="s">
        <v>11</v>
      </c>
      <c r="J7" s="16" t="s">
        <v>27</v>
      </c>
    </row>
    <row r="8" spans="1:16" hidden="1" x14ac:dyDescent="0.25">
      <c r="A8" s="75" t="s">
        <v>0</v>
      </c>
      <c r="B8" s="20">
        <v>1</v>
      </c>
      <c r="C8" s="27">
        <v>10</v>
      </c>
      <c r="D8" s="28">
        <f>($I$5/1000)*C8</f>
        <v>5.5</v>
      </c>
      <c r="E8" s="9">
        <f>$E$5*0.025</f>
        <v>17.5</v>
      </c>
      <c r="F8" s="1">
        <f>E8*B8</f>
        <v>17.5</v>
      </c>
      <c r="H8" s="23">
        <f>D8</f>
        <v>5.5</v>
      </c>
      <c r="I8" s="22">
        <f t="shared" ref="I8:I15" si="0">H8*B8</f>
        <v>5.5</v>
      </c>
      <c r="J8" s="10">
        <f>B8*0.025</f>
        <v>2.5000000000000001E-2</v>
      </c>
    </row>
    <row r="9" spans="1:16" hidden="1" x14ac:dyDescent="0.25">
      <c r="A9" s="75" t="s">
        <v>1</v>
      </c>
      <c r="B9" s="20">
        <v>1</v>
      </c>
      <c r="C9" s="27">
        <v>11</v>
      </c>
      <c r="D9" s="28">
        <f t="shared" ref="D9:D15" si="1">($I$5/1000)*C9</f>
        <v>6.0500000000000007</v>
      </c>
      <c r="E9" s="9">
        <f>$E$5*0.035</f>
        <v>24.500000000000004</v>
      </c>
      <c r="F9" s="1">
        <f t="shared" ref="F9:F15" si="2">E9*B9</f>
        <v>24.500000000000004</v>
      </c>
      <c r="H9" s="23">
        <f t="shared" ref="H9:H15" si="3">D9</f>
        <v>6.0500000000000007</v>
      </c>
      <c r="I9" s="22">
        <f t="shared" si="0"/>
        <v>6.0500000000000007</v>
      </c>
      <c r="J9" s="10">
        <f>B9*0.035</f>
        <v>3.5000000000000003E-2</v>
      </c>
    </row>
    <row r="10" spans="1:16" hidden="1" x14ac:dyDescent="0.25">
      <c r="A10" s="75" t="s">
        <v>2</v>
      </c>
      <c r="B10" s="20">
        <v>1</v>
      </c>
      <c r="C10" s="27">
        <v>14</v>
      </c>
      <c r="D10" s="28">
        <f t="shared" si="1"/>
        <v>7.7000000000000011</v>
      </c>
      <c r="E10" s="9">
        <f>$E$5*0.05</f>
        <v>35</v>
      </c>
      <c r="F10" s="1">
        <f t="shared" si="2"/>
        <v>35</v>
      </c>
      <c r="H10" s="23">
        <f t="shared" si="3"/>
        <v>7.7000000000000011</v>
      </c>
      <c r="I10" s="22">
        <f t="shared" si="0"/>
        <v>7.7000000000000011</v>
      </c>
      <c r="J10" s="10">
        <f>B10*0.05</f>
        <v>0.05</v>
      </c>
    </row>
    <row r="11" spans="1:16" hidden="1" x14ac:dyDescent="0.25">
      <c r="A11" s="75" t="s">
        <v>3</v>
      </c>
      <c r="B11" s="20">
        <v>1</v>
      </c>
      <c r="C11" s="27">
        <v>16</v>
      </c>
      <c r="D11" s="28">
        <f t="shared" si="1"/>
        <v>8.8000000000000007</v>
      </c>
      <c r="E11" s="9">
        <f>$E$5*0.075</f>
        <v>52.5</v>
      </c>
      <c r="F11" s="1">
        <f t="shared" si="2"/>
        <v>52.5</v>
      </c>
      <c r="H11" s="23">
        <f t="shared" si="3"/>
        <v>8.8000000000000007</v>
      </c>
      <c r="I11" s="22">
        <f t="shared" si="0"/>
        <v>8.8000000000000007</v>
      </c>
      <c r="J11" s="10">
        <f>B11*0.075</f>
        <v>7.4999999999999997E-2</v>
      </c>
    </row>
    <row r="12" spans="1:16" hidden="1" x14ac:dyDescent="0.25">
      <c r="A12" s="75" t="s">
        <v>4</v>
      </c>
      <c r="B12" s="20">
        <v>1</v>
      </c>
      <c r="C12" s="27">
        <v>21</v>
      </c>
      <c r="D12" s="28">
        <f t="shared" si="1"/>
        <v>11.55</v>
      </c>
      <c r="E12" s="9">
        <f>$E$5*0.1</f>
        <v>70</v>
      </c>
      <c r="F12" s="1">
        <f t="shared" si="2"/>
        <v>70</v>
      </c>
      <c r="H12" s="23">
        <f t="shared" si="3"/>
        <v>11.55</v>
      </c>
      <c r="I12" s="22">
        <f t="shared" si="0"/>
        <v>11.55</v>
      </c>
      <c r="J12" s="10">
        <f>B12*0.1</f>
        <v>0.1</v>
      </c>
    </row>
    <row r="13" spans="1:16" hidden="1" x14ac:dyDescent="0.25">
      <c r="A13" s="75" t="s">
        <v>5</v>
      </c>
      <c r="B13" s="20">
        <v>1</v>
      </c>
      <c r="C13" s="27">
        <v>11</v>
      </c>
      <c r="D13" s="28">
        <f t="shared" si="1"/>
        <v>6.0500000000000007</v>
      </c>
      <c r="E13" s="9">
        <f>$E$5*0.03</f>
        <v>21</v>
      </c>
      <c r="F13" s="1">
        <f t="shared" si="2"/>
        <v>21</v>
      </c>
      <c r="H13" s="23">
        <f t="shared" si="3"/>
        <v>6.0500000000000007</v>
      </c>
      <c r="I13" s="22">
        <f t="shared" si="0"/>
        <v>6.0500000000000007</v>
      </c>
      <c r="J13" s="10">
        <f>B13*0.03</f>
        <v>0.03</v>
      </c>
    </row>
    <row r="14" spans="1:16" hidden="1" x14ac:dyDescent="0.25">
      <c r="A14" s="75" t="s">
        <v>6</v>
      </c>
      <c r="B14" s="20">
        <v>1</v>
      </c>
      <c r="C14" s="27">
        <v>12</v>
      </c>
      <c r="D14" s="28">
        <f t="shared" si="1"/>
        <v>6.6000000000000005</v>
      </c>
      <c r="E14" s="9">
        <f>$E$5*0.035</f>
        <v>24.500000000000004</v>
      </c>
      <c r="F14" s="1">
        <f t="shared" si="2"/>
        <v>24.500000000000004</v>
      </c>
      <c r="H14" s="23">
        <f t="shared" si="3"/>
        <v>6.6000000000000005</v>
      </c>
      <c r="I14" s="22">
        <f t="shared" si="0"/>
        <v>6.6000000000000005</v>
      </c>
      <c r="J14" s="10">
        <f>B14*0.035</f>
        <v>3.5000000000000003E-2</v>
      </c>
    </row>
    <row r="15" spans="1:16" hidden="1" x14ac:dyDescent="0.25">
      <c r="A15" s="76" t="s">
        <v>7</v>
      </c>
      <c r="B15" s="21">
        <v>1</v>
      </c>
      <c r="C15" s="31">
        <v>15</v>
      </c>
      <c r="D15" s="29">
        <f t="shared" si="1"/>
        <v>8.25</v>
      </c>
      <c r="E15" s="11">
        <f>$E$5*0.05</f>
        <v>35</v>
      </c>
      <c r="F15" s="12">
        <f t="shared" si="2"/>
        <v>35</v>
      </c>
      <c r="H15" s="23">
        <f t="shared" si="3"/>
        <v>8.25</v>
      </c>
      <c r="I15" s="24">
        <f t="shared" si="0"/>
        <v>8.25</v>
      </c>
      <c r="J15" s="13">
        <f>B15*0.05</f>
        <v>0.05</v>
      </c>
    </row>
    <row r="16" spans="1:16" ht="18.75" hidden="1" x14ac:dyDescent="0.3">
      <c r="A16" s="18"/>
      <c r="F16" s="17">
        <f>SUM(F8:F15)</f>
        <v>280</v>
      </c>
      <c r="G16" s="35"/>
      <c r="H16" s="25"/>
      <c r="I16" s="26">
        <f t="shared" ref="I16:J16" si="4">SUM(I8:I15)</f>
        <v>60.500000000000007</v>
      </c>
      <c r="J16" s="14">
        <f t="shared" si="4"/>
        <v>0.40000000000000008</v>
      </c>
    </row>
    <row r="17" spans="1:15" ht="7.5" customHeight="1" thickTop="1" thickBot="1" x14ac:dyDescent="0.35">
      <c r="A17" s="18"/>
      <c r="F17" s="2"/>
      <c r="G17" s="2"/>
      <c r="I17" s="3"/>
    </row>
    <row r="18" spans="1:15" ht="31.5" customHeight="1" x14ac:dyDescent="0.25">
      <c r="A18" s="124" t="s">
        <v>47</v>
      </c>
      <c r="B18" s="58" t="s">
        <v>38</v>
      </c>
      <c r="C18" s="131" t="s">
        <v>35</v>
      </c>
      <c r="D18" s="131"/>
      <c r="E18" s="132" t="s">
        <v>40</v>
      </c>
      <c r="F18" s="132"/>
      <c r="G18" s="62" t="s">
        <v>39</v>
      </c>
      <c r="H18" s="131" t="s">
        <v>36</v>
      </c>
      <c r="I18" s="131"/>
      <c r="K18" s="58" t="s">
        <v>33</v>
      </c>
      <c r="L18" s="126" t="s">
        <v>34</v>
      </c>
      <c r="M18" s="127"/>
      <c r="N18" s="127"/>
      <c r="O18" s="104" t="s">
        <v>41</v>
      </c>
    </row>
    <row r="19" spans="1:15" ht="15.75" thickBot="1" x14ac:dyDescent="0.3">
      <c r="A19" s="125"/>
      <c r="B19" s="93" t="s">
        <v>26</v>
      </c>
      <c r="C19" s="39"/>
      <c r="D19" s="40" t="s">
        <v>9</v>
      </c>
      <c r="E19" s="41" t="s">
        <v>9</v>
      </c>
      <c r="F19" s="59" t="s">
        <v>11</v>
      </c>
      <c r="G19" s="42" t="s">
        <v>27</v>
      </c>
      <c r="H19" s="43" t="s">
        <v>9</v>
      </c>
      <c r="I19" s="63" t="s">
        <v>11</v>
      </c>
      <c r="J19" s="89"/>
      <c r="K19" s="90" t="s">
        <v>32</v>
      </c>
      <c r="L19" s="91" t="s">
        <v>8</v>
      </c>
      <c r="M19" s="92" t="s">
        <v>9</v>
      </c>
      <c r="N19" s="99" t="s">
        <v>11</v>
      </c>
      <c r="O19" s="105" t="s">
        <v>11</v>
      </c>
    </row>
    <row r="20" spans="1:15" ht="16.5" thickTop="1" x14ac:dyDescent="0.25">
      <c r="A20" s="44" t="s">
        <v>48</v>
      </c>
      <c r="B20" s="94"/>
      <c r="C20" s="45"/>
      <c r="D20" s="46">
        <f>D13*2</f>
        <v>12.100000000000001</v>
      </c>
      <c r="E20" s="47">
        <f>E13*2</f>
        <v>42</v>
      </c>
      <c r="F20" s="60">
        <f>-B20*E20</f>
        <v>0</v>
      </c>
      <c r="G20" s="97">
        <f>B20*0.06</f>
        <v>0</v>
      </c>
      <c r="H20" s="48">
        <f>H13*2</f>
        <v>12.100000000000001</v>
      </c>
      <c r="I20" s="64">
        <f>H20*B20</f>
        <v>0</v>
      </c>
      <c r="J20" s="49"/>
      <c r="K20" s="66">
        <v>120</v>
      </c>
      <c r="L20" s="50">
        <f t="shared" ref="L20:L32" si="5">($N$5*K20)/1000</f>
        <v>40.799999999999997</v>
      </c>
      <c r="M20" s="68">
        <f t="shared" ref="M20:M32" si="6">(L20*$I$5)/1000</f>
        <v>22.44</v>
      </c>
      <c r="N20" s="100">
        <f t="shared" ref="N20:N32" si="7">M20*B20</f>
        <v>0</v>
      </c>
      <c r="O20" s="106">
        <f t="shared" ref="O20:O32" si="8">F20+I20+N20</f>
        <v>0</v>
      </c>
    </row>
    <row r="21" spans="1:15" ht="15.75" x14ac:dyDescent="0.25">
      <c r="A21" s="44" t="s">
        <v>43</v>
      </c>
      <c r="B21" s="95"/>
      <c r="C21" s="45"/>
      <c r="D21" s="46">
        <f>D13*2</f>
        <v>12.100000000000001</v>
      </c>
      <c r="E21" s="47">
        <f>E13*2</f>
        <v>42</v>
      </c>
      <c r="F21" s="60">
        <f>-B21*E21</f>
        <v>0</v>
      </c>
      <c r="G21" s="97">
        <f>B21*0.06</f>
        <v>0</v>
      </c>
      <c r="H21" s="48">
        <f>H13*2</f>
        <v>12.100000000000001</v>
      </c>
      <c r="I21" s="64">
        <f>H21*B21</f>
        <v>0</v>
      </c>
      <c r="J21" s="49"/>
      <c r="K21" s="66">
        <v>140</v>
      </c>
      <c r="L21" s="50">
        <f t="shared" si="5"/>
        <v>47.6</v>
      </c>
      <c r="M21" s="68">
        <f t="shared" si="6"/>
        <v>26.18</v>
      </c>
      <c r="N21" s="100">
        <f t="shared" si="7"/>
        <v>0</v>
      </c>
      <c r="O21" s="106">
        <f t="shared" si="8"/>
        <v>0</v>
      </c>
    </row>
    <row r="22" spans="1:15" ht="15.75" x14ac:dyDescent="0.25">
      <c r="A22" s="44" t="s">
        <v>18</v>
      </c>
      <c r="B22" s="95"/>
      <c r="C22" s="45"/>
      <c r="D22" s="46">
        <f>$D$14*2</f>
        <v>13.200000000000001</v>
      </c>
      <c r="E22" s="47">
        <f>$E$14*2</f>
        <v>49.000000000000007</v>
      </c>
      <c r="F22" s="60">
        <f t="shared" ref="F22:F32" si="9">-B22*E22</f>
        <v>0</v>
      </c>
      <c r="G22" s="97">
        <f>B22*0.07</f>
        <v>0</v>
      </c>
      <c r="H22" s="48">
        <f>$H$14*2</f>
        <v>13.200000000000001</v>
      </c>
      <c r="I22" s="64">
        <f t="shared" ref="I22:I29" si="10">H22*B22</f>
        <v>0</v>
      </c>
      <c r="J22" s="49"/>
      <c r="K22" s="66">
        <v>130</v>
      </c>
      <c r="L22" s="50">
        <f t="shared" si="5"/>
        <v>44.2</v>
      </c>
      <c r="M22" s="68">
        <f t="shared" si="6"/>
        <v>24.31</v>
      </c>
      <c r="N22" s="100">
        <f t="shared" si="7"/>
        <v>0</v>
      </c>
      <c r="O22" s="106">
        <f t="shared" si="8"/>
        <v>0</v>
      </c>
    </row>
    <row r="23" spans="1:15" ht="15.75" x14ac:dyDescent="0.25">
      <c r="A23" s="44" t="s">
        <v>19</v>
      </c>
      <c r="B23" s="95"/>
      <c r="C23" s="45"/>
      <c r="D23" s="46">
        <f t="shared" ref="D23" si="11">$D$14*2</f>
        <v>13.200000000000001</v>
      </c>
      <c r="E23" s="47">
        <f t="shared" ref="E23:E27" si="12">$E$14*2</f>
        <v>49.000000000000007</v>
      </c>
      <c r="F23" s="60">
        <f t="shared" si="9"/>
        <v>0</v>
      </c>
      <c r="G23" s="97">
        <f>B23*0.07</f>
        <v>0</v>
      </c>
      <c r="H23" s="48">
        <f t="shared" ref="H23:H27" si="13">$H$14*2</f>
        <v>13.200000000000001</v>
      </c>
      <c r="I23" s="64">
        <f t="shared" si="10"/>
        <v>0</v>
      </c>
      <c r="J23" s="49"/>
      <c r="K23" s="66">
        <v>150</v>
      </c>
      <c r="L23" s="86">
        <f t="shared" si="5"/>
        <v>51</v>
      </c>
      <c r="M23" s="68">
        <f t="shared" si="6"/>
        <v>28.05</v>
      </c>
      <c r="N23" s="100">
        <f t="shared" si="7"/>
        <v>0</v>
      </c>
      <c r="O23" s="106">
        <f t="shared" si="8"/>
        <v>0</v>
      </c>
    </row>
    <row r="24" spans="1:15" ht="15.75" x14ac:dyDescent="0.25">
      <c r="A24" s="44" t="s">
        <v>20</v>
      </c>
      <c r="B24" s="95"/>
      <c r="C24" s="45"/>
      <c r="D24" s="46">
        <f>$D$14*2</f>
        <v>13.200000000000001</v>
      </c>
      <c r="E24" s="47">
        <f>$E$14*2</f>
        <v>49.000000000000007</v>
      </c>
      <c r="F24" s="60">
        <f t="shared" si="9"/>
        <v>0</v>
      </c>
      <c r="G24" s="97">
        <f>B24*0.07</f>
        <v>0</v>
      </c>
      <c r="H24" s="48">
        <f>$H$14*2</f>
        <v>13.200000000000001</v>
      </c>
      <c r="I24" s="64">
        <f t="shared" si="10"/>
        <v>0</v>
      </c>
      <c r="J24" s="49"/>
      <c r="K24" s="66">
        <v>180</v>
      </c>
      <c r="L24" s="50">
        <f t="shared" si="5"/>
        <v>61.2</v>
      </c>
      <c r="M24" s="68">
        <f t="shared" si="6"/>
        <v>33.659999999999997</v>
      </c>
      <c r="N24" s="100">
        <f t="shared" si="7"/>
        <v>0</v>
      </c>
      <c r="O24" s="106">
        <f t="shared" si="8"/>
        <v>0</v>
      </c>
    </row>
    <row r="25" spans="1:15" ht="15.75" x14ac:dyDescent="0.25">
      <c r="A25" s="44" t="s">
        <v>21</v>
      </c>
      <c r="B25" s="95"/>
      <c r="C25" s="45"/>
      <c r="D25" s="46">
        <f>D14+D10</f>
        <v>14.3</v>
      </c>
      <c r="E25" s="51">
        <f>E14+E10</f>
        <v>59.5</v>
      </c>
      <c r="F25" s="60">
        <f t="shared" si="9"/>
        <v>0</v>
      </c>
      <c r="G25" s="97">
        <f>B25*0.085</f>
        <v>0</v>
      </c>
      <c r="H25" s="48">
        <f>H14+H10</f>
        <v>14.3</v>
      </c>
      <c r="I25" s="64">
        <f t="shared" si="10"/>
        <v>0</v>
      </c>
      <c r="J25" s="49"/>
      <c r="K25" s="66">
        <v>165</v>
      </c>
      <c r="L25" s="50">
        <f t="shared" si="5"/>
        <v>56.1</v>
      </c>
      <c r="M25" s="68">
        <f t="shared" si="6"/>
        <v>30.855</v>
      </c>
      <c r="N25" s="100">
        <f t="shared" si="7"/>
        <v>0</v>
      </c>
      <c r="O25" s="106">
        <f t="shared" si="8"/>
        <v>0</v>
      </c>
    </row>
    <row r="26" spans="1:15" ht="15.75" x14ac:dyDescent="0.25">
      <c r="A26" s="44" t="s">
        <v>44</v>
      </c>
      <c r="B26" s="95"/>
      <c r="C26" s="45"/>
      <c r="D26" s="46">
        <f>D10*2</f>
        <v>15.400000000000002</v>
      </c>
      <c r="E26" s="51">
        <f>E10*2</f>
        <v>70</v>
      </c>
      <c r="F26" s="60">
        <f t="shared" si="9"/>
        <v>0</v>
      </c>
      <c r="G26" s="97">
        <f>B26*0.1</f>
        <v>0</v>
      </c>
      <c r="H26" s="48">
        <f>H10*2</f>
        <v>15.400000000000002</v>
      </c>
      <c r="I26" s="64">
        <f t="shared" si="10"/>
        <v>0</v>
      </c>
      <c r="J26" s="49"/>
      <c r="K26" s="66">
        <v>150</v>
      </c>
      <c r="L26" s="86">
        <f t="shared" si="5"/>
        <v>51</v>
      </c>
      <c r="M26" s="68">
        <f t="shared" si="6"/>
        <v>28.05</v>
      </c>
      <c r="N26" s="100">
        <f t="shared" si="7"/>
        <v>0</v>
      </c>
      <c r="O26" s="106">
        <f t="shared" si="8"/>
        <v>0</v>
      </c>
    </row>
    <row r="27" spans="1:15" ht="15.75" x14ac:dyDescent="0.25">
      <c r="A27" s="44" t="s">
        <v>22</v>
      </c>
      <c r="B27" s="95"/>
      <c r="C27" s="45"/>
      <c r="D27" s="46">
        <f>D14*2</f>
        <v>13.200000000000001</v>
      </c>
      <c r="E27" s="47">
        <f t="shared" si="12"/>
        <v>49.000000000000007</v>
      </c>
      <c r="F27" s="60">
        <f t="shared" si="9"/>
        <v>0</v>
      </c>
      <c r="G27" s="97">
        <f>B27*0.07</f>
        <v>0</v>
      </c>
      <c r="H27" s="48">
        <f t="shared" si="13"/>
        <v>13.200000000000001</v>
      </c>
      <c r="I27" s="64">
        <f t="shared" si="10"/>
        <v>0</v>
      </c>
      <c r="J27" s="49"/>
      <c r="K27" s="66">
        <v>230</v>
      </c>
      <c r="L27" s="50">
        <f t="shared" si="5"/>
        <v>78.2</v>
      </c>
      <c r="M27" s="68">
        <f t="shared" si="6"/>
        <v>43.01</v>
      </c>
      <c r="N27" s="100">
        <f t="shared" si="7"/>
        <v>0</v>
      </c>
      <c r="O27" s="106">
        <f>F27+I27+N27</f>
        <v>0</v>
      </c>
    </row>
    <row r="28" spans="1:15" ht="15.75" x14ac:dyDescent="0.25">
      <c r="A28" s="44" t="s">
        <v>23</v>
      </c>
      <c r="B28" s="95"/>
      <c r="C28" s="45"/>
      <c r="D28" s="46">
        <f>D14+D10</f>
        <v>14.3</v>
      </c>
      <c r="E28" s="51">
        <f>E14+E10</f>
        <v>59.5</v>
      </c>
      <c r="F28" s="60">
        <f t="shared" si="9"/>
        <v>0</v>
      </c>
      <c r="G28" s="97">
        <f>B28*0.085</f>
        <v>0</v>
      </c>
      <c r="H28" s="48">
        <f>H14+H10</f>
        <v>14.3</v>
      </c>
      <c r="I28" s="64">
        <f t="shared" si="10"/>
        <v>0</v>
      </c>
      <c r="J28" s="49"/>
      <c r="K28" s="66">
        <v>215</v>
      </c>
      <c r="L28" s="50">
        <f t="shared" si="5"/>
        <v>73.099999999999994</v>
      </c>
      <c r="M28" s="68">
        <f t="shared" si="6"/>
        <v>40.204999999999998</v>
      </c>
      <c r="N28" s="100">
        <f t="shared" si="7"/>
        <v>0</v>
      </c>
      <c r="O28" s="106">
        <f t="shared" si="8"/>
        <v>0</v>
      </c>
    </row>
    <row r="29" spans="1:15" ht="15.75" x14ac:dyDescent="0.25">
      <c r="A29" s="44" t="s">
        <v>24</v>
      </c>
      <c r="B29" s="95"/>
      <c r="C29" s="45"/>
      <c r="D29" s="46">
        <f>D10+D15</f>
        <v>15.950000000000001</v>
      </c>
      <c r="E29" s="51">
        <f>E15+E10</f>
        <v>70</v>
      </c>
      <c r="F29" s="60">
        <f t="shared" si="9"/>
        <v>0</v>
      </c>
      <c r="G29" s="97">
        <f>B29*0.1</f>
        <v>0</v>
      </c>
      <c r="H29" s="48">
        <f>H15+H10</f>
        <v>15.950000000000001</v>
      </c>
      <c r="I29" s="64">
        <f t="shared" si="10"/>
        <v>0</v>
      </c>
      <c r="J29" s="49"/>
      <c r="K29" s="66">
        <v>200</v>
      </c>
      <c r="L29" s="86">
        <f t="shared" si="5"/>
        <v>68</v>
      </c>
      <c r="M29" s="68">
        <f t="shared" si="6"/>
        <v>37.4</v>
      </c>
      <c r="N29" s="100">
        <f t="shared" si="7"/>
        <v>0</v>
      </c>
      <c r="O29" s="106">
        <f t="shared" si="8"/>
        <v>0</v>
      </c>
    </row>
    <row r="30" spans="1:15" ht="15.75" x14ac:dyDescent="0.25">
      <c r="A30" s="44" t="s">
        <v>25</v>
      </c>
      <c r="B30" s="95"/>
      <c r="C30" s="45"/>
      <c r="D30" s="46">
        <f>D10+D11</f>
        <v>16.5</v>
      </c>
      <c r="E30" s="51">
        <f>E10+E11</f>
        <v>87.5</v>
      </c>
      <c r="F30" s="60">
        <f>-B30*E30</f>
        <v>0</v>
      </c>
      <c r="G30" s="97">
        <f>B30*0.125</f>
        <v>0</v>
      </c>
      <c r="H30" s="48">
        <f>H10+H11</f>
        <v>16.5</v>
      </c>
      <c r="I30" s="64">
        <f>H30*B30</f>
        <v>0</v>
      </c>
      <c r="J30" s="49"/>
      <c r="K30" s="66">
        <v>175</v>
      </c>
      <c r="L30" s="50">
        <f t="shared" si="5"/>
        <v>59.5</v>
      </c>
      <c r="M30" s="84">
        <f t="shared" si="6"/>
        <v>32.725000000000001</v>
      </c>
      <c r="N30" s="100">
        <f t="shared" ref="N30" si="14">M30*B30</f>
        <v>0</v>
      </c>
      <c r="O30" s="106">
        <f>F30+I30+N30</f>
        <v>0</v>
      </c>
    </row>
    <row r="31" spans="1:15" ht="15.75" x14ac:dyDescent="0.25">
      <c r="A31" s="81" t="s">
        <v>45</v>
      </c>
      <c r="B31" s="95"/>
      <c r="C31" s="77"/>
      <c r="D31" s="78">
        <f>D9+D14</f>
        <v>12.650000000000002</v>
      </c>
      <c r="E31" s="79">
        <f>E14+E9</f>
        <v>49.000000000000007</v>
      </c>
      <c r="F31" s="60">
        <f>-B31*E31</f>
        <v>0</v>
      </c>
      <c r="G31" s="97">
        <f>B31*0.07</f>
        <v>0</v>
      </c>
      <c r="H31" s="80">
        <f>H9+H14</f>
        <v>12.650000000000002</v>
      </c>
      <c r="I31" s="64">
        <f t="shared" ref="I31:I32" si="15">H31*B31</f>
        <v>0</v>
      </c>
      <c r="K31" s="82">
        <v>150</v>
      </c>
      <c r="L31" s="87">
        <f t="shared" si="5"/>
        <v>51</v>
      </c>
      <c r="M31" s="83">
        <f t="shared" si="6"/>
        <v>28.05</v>
      </c>
      <c r="N31" s="101">
        <f>M31*B31</f>
        <v>0</v>
      </c>
      <c r="O31" s="107">
        <f>F31+I31+N31</f>
        <v>0</v>
      </c>
    </row>
    <row r="32" spans="1:15" ht="16.5" thickBot="1" x14ac:dyDescent="0.3">
      <c r="A32" s="52" t="s">
        <v>46</v>
      </c>
      <c r="B32" s="96"/>
      <c r="C32" s="53"/>
      <c r="D32" s="54">
        <f>D10+D9</f>
        <v>13.750000000000002</v>
      </c>
      <c r="E32" s="55">
        <f>E10+E9</f>
        <v>59.5</v>
      </c>
      <c r="F32" s="61">
        <f t="shared" si="9"/>
        <v>0</v>
      </c>
      <c r="G32" s="98">
        <f>B32*0.085</f>
        <v>0</v>
      </c>
      <c r="H32" s="56">
        <f>H10+H9</f>
        <v>13.750000000000002</v>
      </c>
      <c r="I32" s="64">
        <f t="shared" si="15"/>
        <v>0</v>
      </c>
      <c r="J32" s="57"/>
      <c r="K32" s="67">
        <v>150</v>
      </c>
      <c r="L32" s="88">
        <f t="shared" si="5"/>
        <v>51</v>
      </c>
      <c r="M32" s="85">
        <f t="shared" si="6"/>
        <v>28.05</v>
      </c>
      <c r="N32" s="102">
        <f t="shared" si="7"/>
        <v>0</v>
      </c>
      <c r="O32" s="108">
        <f t="shared" si="8"/>
        <v>0</v>
      </c>
    </row>
    <row r="33" spans="1:15" ht="22.5" thickTop="1" thickBot="1" x14ac:dyDescent="0.3">
      <c r="F33" s="110">
        <f>SUM(F20:F32)</f>
        <v>0</v>
      </c>
      <c r="G33" s="112">
        <f>SUM(G20:G32)</f>
        <v>0</v>
      </c>
      <c r="H33" s="33"/>
      <c r="I33" s="65">
        <f>SUM(I20:I32)</f>
        <v>0</v>
      </c>
      <c r="K33" s="1"/>
      <c r="L33" s="1"/>
      <c r="M33" s="1"/>
      <c r="N33" s="103">
        <f>SUM(N20:N32)</f>
        <v>0</v>
      </c>
      <c r="O33" s="109">
        <f>SUM(O20:O32)</f>
        <v>0</v>
      </c>
    </row>
    <row r="34" spans="1:15" ht="5.25" customHeight="1" x14ac:dyDescent="0.25"/>
    <row r="35" spans="1:15" ht="15.75" x14ac:dyDescent="0.25">
      <c r="A35" s="143" t="s">
        <v>60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1:15" ht="6" customHeight="1" thickBot="1" x14ac:dyDescent="0.3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18.75" x14ac:dyDescent="0.25">
      <c r="A37" s="168" t="s">
        <v>59</v>
      </c>
      <c r="B37" s="168"/>
      <c r="C37" s="168"/>
      <c r="D37" s="168"/>
      <c r="E37" s="168"/>
      <c r="F37" s="168"/>
      <c r="G37" s="168"/>
      <c r="H37" s="169"/>
      <c r="I37" s="165">
        <f>G33</f>
        <v>0</v>
      </c>
      <c r="J37" s="166"/>
      <c r="K37" s="167"/>
      <c r="L37" s="114" t="s">
        <v>61</v>
      </c>
      <c r="M37" s="115"/>
      <c r="N37" s="69"/>
      <c r="O37" s="69"/>
    </row>
    <row r="38" spans="1:15" ht="19.5" thickBot="1" x14ac:dyDescent="0.3">
      <c r="A38" s="168"/>
      <c r="B38" s="168"/>
      <c r="C38" s="168"/>
      <c r="D38" s="168"/>
      <c r="E38" s="168"/>
      <c r="F38" s="168"/>
      <c r="G38" s="168"/>
      <c r="H38" s="169"/>
      <c r="I38" s="154">
        <f>F33</f>
        <v>0</v>
      </c>
      <c r="J38" s="155"/>
      <c r="K38" s="156"/>
      <c r="L38" s="4" t="s">
        <v>51</v>
      </c>
    </row>
    <row r="39" spans="1:15" ht="22.5" customHeight="1" thickTop="1" thickBot="1" x14ac:dyDescent="0.3">
      <c r="B39" s="144" t="s">
        <v>53</v>
      </c>
      <c r="C39" s="144"/>
      <c r="D39" s="144"/>
      <c r="E39" s="144"/>
      <c r="F39" s="144"/>
      <c r="G39" s="144"/>
      <c r="H39" s="157">
        <v>40</v>
      </c>
      <c r="I39" s="158"/>
      <c r="K39" s="140">
        <f>H39*I40</f>
        <v>1.6</v>
      </c>
      <c r="L39" s="141"/>
      <c r="M39" s="141"/>
      <c r="N39" s="142"/>
    </row>
    <row r="40" spans="1:15" ht="16.5" thickTop="1" thickBot="1" x14ac:dyDescent="0.3">
      <c r="A40" s="161" t="s">
        <v>52</v>
      </c>
      <c r="B40" s="161"/>
      <c r="C40" s="161"/>
      <c r="D40" s="161"/>
      <c r="E40" s="161"/>
      <c r="F40" s="161"/>
      <c r="G40" s="161"/>
      <c r="H40" s="161"/>
      <c r="I40" s="162">
        <v>0.04</v>
      </c>
      <c r="J40" s="163"/>
      <c r="K40" s="164"/>
    </row>
    <row r="41" spans="1:15" ht="29.25" customHeight="1" thickBot="1" x14ac:dyDescent="0.3">
      <c r="C41" s="5"/>
      <c r="G41" s="7"/>
      <c r="H41" s="6" t="s">
        <v>54</v>
      </c>
      <c r="I41" s="145">
        <f>G33/K39</f>
        <v>0</v>
      </c>
      <c r="J41" s="146"/>
      <c r="K41" s="147"/>
      <c r="L41" s="159" t="s">
        <v>57</v>
      </c>
      <c r="M41" s="160"/>
      <c r="N41" s="160"/>
    </row>
    <row r="42" spans="1:15" ht="20.25" thickTop="1" thickBot="1" x14ac:dyDescent="0.3">
      <c r="G42" s="70"/>
      <c r="H42" s="6" t="s">
        <v>55</v>
      </c>
      <c r="I42" s="151">
        <v>50</v>
      </c>
      <c r="J42" s="152"/>
      <c r="K42" s="153"/>
      <c r="L42" s="8" t="s">
        <v>56</v>
      </c>
    </row>
    <row r="43" spans="1:15" ht="20.25" thickTop="1" thickBot="1" x14ac:dyDescent="0.3">
      <c r="G43" s="7"/>
      <c r="H43" s="6" t="s">
        <v>62</v>
      </c>
      <c r="I43" s="148">
        <f>I41/I42</f>
        <v>0</v>
      </c>
      <c r="J43" s="149"/>
      <c r="K43" s="150"/>
      <c r="L43" s="8" t="s">
        <v>58</v>
      </c>
    </row>
    <row r="44" spans="1:15" ht="3" customHeight="1" x14ac:dyDescent="0.25"/>
    <row r="45" spans="1:15" ht="18.75" x14ac:dyDescent="0.3">
      <c r="A45" s="19"/>
    </row>
    <row r="46" spans="1:15" ht="5.25" customHeight="1" x14ac:dyDescent="0.25"/>
    <row r="47" spans="1:15" ht="18.75" x14ac:dyDescent="0.3">
      <c r="A47" s="19"/>
    </row>
    <row r="48" spans="1:15" ht="18.75" x14ac:dyDescent="0.3">
      <c r="A48" s="19"/>
    </row>
  </sheetData>
  <mergeCells count="26">
    <mergeCell ref="K39:N39"/>
    <mergeCell ref="A35:O35"/>
    <mergeCell ref="B39:G39"/>
    <mergeCell ref="I41:K41"/>
    <mergeCell ref="I43:K43"/>
    <mergeCell ref="I42:K42"/>
    <mergeCell ref="I38:K38"/>
    <mergeCell ref="H39:I39"/>
    <mergeCell ref="L41:N41"/>
    <mergeCell ref="A40:H40"/>
    <mergeCell ref="I40:K40"/>
    <mergeCell ref="I37:K37"/>
    <mergeCell ref="A37:H38"/>
    <mergeCell ref="E5:F5"/>
    <mergeCell ref="A5:B5"/>
    <mergeCell ref="L5:M5"/>
    <mergeCell ref="G5:H5"/>
    <mergeCell ref="I5:K5"/>
    <mergeCell ref="A18:A19"/>
    <mergeCell ref="L18:N18"/>
    <mergeCell ref="C6:D6"/>
    <mergeCell ref="E6:F6"/>
    <mergeCell ref="H6:I6"/>
    <mergeCell ref="C18:D18"/>
    <mergeCell ref="E18:F18"/>
    <mergeCell ref="H18:I18"/>
  </mergeCells>
  <pageMargins left="0.31496062992125984" right="0.31496062992125984" top="0.55118110236220474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Thönnessen</dc:creator>
  <cp:lastModifiedBy>Michelle Jäger</cp:lastModifiedBy>
  <cp:lastPrinted>2022-03-07T10:19:58Z</cp:lastPrinted>
  <dcterms:created xsi:type="dcterms:W3CDTF">2021-02-03T14:45:50Z</dcterms:created>
  <dcterms:modified xsi:type="dcterms:W3CDTF">2024-03-22T12:22:09Z</dcterms:modified>
</cp:coreProperties>
</file>